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xanTT\Desktop\"/>
    </mc:Choice>
  </mc:AlternateContent>
  <xr:revisionPtr revIDLastSave="0" documentId="13_ncr:1_{1247C22C-BA11-4AA6-B7A6-8D8BB7F069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lower" sheetId="1" r:id="rId1"/>
    <sheet name="Engine and Blower Eff" sheetId="2" r:id="rId2"/>
    <sheet name="Intercoole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5" i="1" l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C36" i="1"/>
  <c r="I14" i="1" s="1"/>
  <c r="D41" i="1"/>
  <c r="D42" i="1"/>
  <c r="D43" i="1" l="1"/>
  <c r="G36" i="1"/>
  <c r="C37" i="1"/>
  <c r="G14" i="1" s="1"/>
  <c r="M7" i="1"/>
  <c r="J9" i="1"/>
  <c r="J7" i="1"/>
  <c r="E14" i="1" l="1"/>
  <c r="D45" i="1"/>
  <c r="J14" i="1" s="1"/>
  <c r="G35" i="1"/>
  <c r="G37" i="1" l="1"/>
  <c r="D47" i="1" s="1"/>
  <c r="H14" i="1"/>
  <c r="D46" i="1" l="1"/>
  <c r="D48" i="1" s="1"/>
  <c r="G39" i="1"/>
  <c r="K14" i="1" s="1"/>
  <c r="G38" i="1"/>
  <c r="L14" i="1" s="1"/>
  <c r="F14" i="1"/>
  <c r="D44" i="1"/>
  <c r="D55" i="1"/>
  <c r="D49" i="1" l="1"/>
  <c r="D14" i="1" s="1"/>
  <c r="D50" i="1"/>
  <c r="D54" i="1" s="1"/>
  <c r="B14" i="1" s="1"/>
  <c r="M14" i="1" s="1"/>
  <c r="N14" i="1" s="1"/>
  <c r="D51" i="1" l="1"/>
  <c r="D56" i="1" s="1"/>
  <c r="C14" i="1" s="1"/>
  <c r="D53" i="1"/>
</calcChain>
</file>

<file path=xl/sharedStrings.xml><?xml version="1.0" encoding="utf-8"?>
<sst xmlns="http://schemas.openxmlformats.org/spreadsheetml/2006/main" count="81" uniqueCount="78">
  <si>
    <t>Crank Dia (in)</t>
  </si>
  <si>
    <t>Engine Size (cu in)</t>
  </si>
  <si>
    <t>Blower Size (cu in)</t>
  </si>
  <si>
    <t>Cu in</t>
  </si>
  <si>
    <t>Liters</t>
  </si>
  <si>
    <t>Liters ---&gt;</t>
  </si>
  <si>
    <t>Cu in ---&gt;</t>
  </si>
  <si>
    <t>Truck</t>
  </si>
  <si>
    <t>Vette</t>
  </si>
  <si>
    <t>Crank Diameters (in)</t>
  </si>
  <si>
    <t>Pulley Size (in)</t>
  </si>
  <si>
    <t>Engine Air (CFM)</t>
  </si>
  <si>
    <t>Blower Air (CFM)</t>
  </si>
  <si>
    <t>Engine VE (%)</t>
  </si>
  <si>
    <t>Blower VE (%)</t>
  </si>
  <si>
    <t>Ambient Temp (F)</t>
  </si>
  <si>
    <t>Final Density Ratio</t>
  </si>
  <si>
    <t>Blower Out Temp (F)</t>
  </si>
  <si>
    <t>Blower Inlet Temp (F)</t>
  </si>
  <si>
    <t>Intercooler Out Temp (F)</t>
  </si>
  <si>
    <t>Air Path</t>
  </si>
  <si>
    <t>Real Boost (psi)</t>
  </si>
  <si>
    <t>Ideal Boost (psi)</t>
  </si>
  <si>
    <t>Blower Out Dens. (lb/ft³)</t>
  </si>
  <si>
    <t>Blower Inlet Dens. (lb/ft³)</t>
  </si>
  <si>
    <t>Intercooler Out Dens. (lb/ft³)</t>
  </si>
  <si>
    <t>Intercooler Out Press (psig)</t>
  </si>
  <si>
    <t>Blower Out Press. (psig)</t>
  </si>
  <si>
    <t>Blower Adiabatic Efficiency</t>
  </si>
  <si>
    <t>Supercharger Temperature/Pressure/Boost Calculator</t>
  </si>
  <si>
    <t>Engine Specs</t>
  </si>
  <si>
    <t>Blower Specs</t>
  </si>
  <si>
    <t>&lt;-- this is the important number</t>
  </si>
  <si>
    <t>Real Pressure Ratio</t>
  </si>
  <si>
    <t>&lt;-- this is the important # for power</t>
  </si>
  <si>
    <t>Unit Converters</t>
  </si>
  <si>
    <t>Only modify the GREEN cells, the RED cells are output!</t>
  </si>
  <si>
    <t>Inlet Pressure (psia)</t>
  </si>
  <si>
    <t>Blower Inlet Mass Flow (lb/min)</t>
  </si>
  <si>
    <t>RPM</t>
  </si>
  <si>
    <t>Engine</t>
  </si>
  <si>
    <t>VE</t>
  </si>
  <si>
    <t>Blower</t>
  </si>
  <si>
    <t>AE (@PR=2)</t>
  </si>
  <si>
    <t>Int. Pres. Loss (psig)</t>
  </si>
  <si>
    <t>Int. Thermal Eff. (%)</t>
  </si>
  <si>
    <t>Blower Inlet Loss (psig)</t>
  </si>
  <si>
    <t>Ambient Press. (psia)</t>
  </si>
  <si>
    <t>Blower RPM</t>
  </si>
  <si>
    <t>Density Ratio</t>
  </si>
  <si>
    <t>Blower AE - R2300 + 10% for Twin Screw</t>
  </si>
  <si>
    <t>&lt;-- this is the boost with no blower losses</t>
  </si>
  <si>
    <t>CFM</t>
  </si>
  <si>
    <t>Int Eff</t>
  </si>
  <si>
    <t>Int P Drop</t>
  </si>
  <si>
    <t xml:space="preserve"> Stuff vs RPM</t>
  </si>
  <si>
    <t>Lowest Engine RPM</t>
  </si>
  <si>
    <t>SC RPM</t>
  </si>
  <si>
    <t>Results Summary</t>
  </si>
  <si>
    <t>CTSV/ZL1</t>
  </si>
  <si>
    <t>Truck + 10%</t>
  </si>
  <si>
    <t>SC CFM</t>
  </si>
  <si>
    <t>ENG CFM</t>
  </si>
  <si>
    <t>Engine Inputs</t>
  </si>
  <si>
    <t>Blower Inputs</t>
  </si>
  <si>
    <t>Engine VE - Typical Cam'd LS3 + fudge for blower</t>
  </si>
  <si>
    <t>Blower VE - R1900, uninstalled</t>
  </si>
  <si>
    <t>Pure SWAG</t>
  </si>
  <si>
    <t>Written by Atomic on performancetrucks.net</t>
  </si>
  <si>
    <t>Belt Load, lb</t>
  </si>
  <si>
    <t>SC REQ, HP</t>
  </si>
  <si>
    <t>Int. Eff., %</t>
  </si>
  <si>
    <t>Int. Loss., PSI</t>
  </si>
  <si>
    <t>SC AE, %</t>
  </si>
  <si>
    <t>ENG VE, %</t>
  </si>
  <si>
    <t>SC VE, %</t>
  </si>
  <si>
    <t>Temp, F</t>
  </si>
  <si>
    <t>Boost, PSI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</si>
</sst>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u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3" xfId="0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 applyBorder="1"/>
    <xf numFmtId="0" fontId="0" fillId="2" borderId="17" xfId="0" applyFill="1" applyBorder="1" applyAlignment="1">
      <alignment horizontal="center" vertical="center"/>
    </xf>
    <xf numFmtId="164" fontId="0" fillId="2" borderId="19" xfId="0" applyNumberForma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9" fontId="0" fillId="0" borderId="5" xfId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9" fontId="0" fillId="0" borderId="0" xfId="1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9" fontId="0" fillId="0" borderId="26" xfId="1" applyFont="1" applyBorder="1" applyAlignment="1">
      <alignment horizontal="center"/>
    </xf>
    <xf numFmtId="0" fontId="0" fillId="0" borderId="27" xfId="0" applyBorder="1" applyAlignment="1">
      <alignment horizontal="center"/>
    </xf>
    <xf numFmtId="9" fontId="0" fillId="0" borderId="12" xfId="1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2" xfId="0" applyBorder="1"/>
    <xf numFmtId="9" fontId="0" fillId="0" borderId="0" xfId="0" applyNumberFormat="1" applyBorder="1" applyAlignment="1">
      <alignment horizontal="center"/>
    </xf>
    <xf numFmtId="9" fontId="0" fillId="0" borderId="12" xfId="0" applyNumberFormat="1" applyBorder="1" applyAlignment="1">
      <alignment horizontal="center"/>
    </xf>
    <xf numFmtId="0" fontId="0" fillId="0" borderId="25" xfId="0" applyBorder="1"/>
    <xf numFmtId="9" fontId="0" fillId="0" borderId="10" xfId="1" applyFont="1" applyBorder="1" applyAlignment="1">
      <alignment horizontal="center"/>
    </xf>
    <xf numFmtId="9" fontId="0" fillId="0" borderId="13" xfId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2" fontId="0" fillId="0" borderId="5" xfId="0" applyNumberFormat="1" applyBorder="1"/>
    <xf numFmtId="2" fontId="0" fillId="0" borderId="5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9" fontId="0" fillId="0" borderId="3" xfId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0" fontId="0" fillId="0" borderId="0" xfId="0" applyFill="1"/>
    <xf numFmtId="0" fontId="6" fillId="0" borderId="0" xfId="0" applyFont="1"/>
    <xf numFmtId="0" fontId="6" fillId="0" borderId="0" xfId="0" applyFont="1" applyFill="1"/>
    <xf numFmtId="164" fontId="6" fillId="0" borderId="0" xfId="0" applyNumberFormat="1" applyFont="1" applyFill="1" applyAlignment="1">
      <alignment horizontal="left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/>
    <xf numFmtId="9" fontId="6" fillId="0" borderId="0" xfId="1" applyFont="1" applyFill="1"/>
    <xf numFmtId="166" fontId="6" fillId="0" borderId="0" xfId="0" applyNumberFormat="1" applyFont="1" applyFill="1"/>
    <xf numFmtId="0" fontId="0" fillId="3" borderId="16" xfId="0" applyFill="1" applyBorder="1" applyAlignment="1">
      <alignment horizontal="center" vertical="center"/>
    </xf>
    <xf numFmtId="2" fontId="0" fillId="3" borderId="18" xfId="0" applyNumberFormat="1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>
      <alignment horizontal="center" vertical="center"/>
    </xf>
    <xf numFmtId="164" fontId="0" fillId="3" borderId="18" xfId="0" applyNumberForma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right"/>
    </xf>
    <xf numFmtId="165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left"/>
    </xf>
    <xf numFmtId="9" fontId="6" fillId="0" borderId="0" xfId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left"/>
    </xf>
    <xf numFmtId="1" fontId="6" fillId="0" borderId="0" xfId="0" applyNumberFormat="1" applyFont="1" applyFill="1" applyBorder="1" applyAlignment="1">
      <alignment horizontal="right"/>
    </xf>
    <xf numFmtId="2" fontId="6" fillId="0" borderId="0" xfId="0" applyNumberFormat="1" applyFont="1" applyFill="1" applyBorder="1"/>
    <xf numFmtId="1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2" fontId="6" fillId="0" borderId="0" xfId="1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164" fontId="0" fillId="0" borderId="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2" fontId="0" fillId="0" borderId="0" xfId="1" applyNumberFormat="1" applyFont="1"/>
    <xf numFmtId="1" fontId="6" fillId="0" borderId="0" xfId="0" applyNumberFormat="1" applyFont="1" applyFill="1" applyBorder="1" applyAlignment="1">
      <alignment horizontal="center"/>
    </xf>
    <xf numFmtId="9" fontId="6" fillId="0" borderId="0" xfId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1" fontId="0" fillId="0" borderId="10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3" borderId="17" xfId="0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0" fontId="0" fillId="3" borderId="19" xfId="0" applyFill="1" applyBorder="1" applyProtection="1">
      <protection locked="0"/>
    </xf>
    <xf numFmtId="164" fontId="0" fillId="3" borderId="19" xfId="0" applyNumberFormat="1" applyFill="1" applyBorder="1" applyProtection="1">
      <protection locked="0"/>
    </xf>
    <xf numFmtId="0" fontId="5" fillId="0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0" fillId="3" borderId="16" xfId="0" applyFill="1" applyBorder="1" applyAlignment="1">
      <alignment horizontal="left"/>
    </xf>
    <xf numFmtId="0" fontId="0" fillId="3" borderId="31" xfId="0" applyFill="1" applyBorder="1" applyAlignment="1">
      <alignment horizontal="left"/>
    </xf>
    <xf numFmtId="0" fontId="0" fillId="3" borderId="18" xfId="0" applyFill="1" applyBorder="1" applyAlignment="1">
      <alignment horizontal="left"/>
    </xf>
    <xf numFmtId="0" fontId="0" fillId="3" borderId="32" xfId="0" applyFill="1" applyBorder="1" applyAlignment="1">
      <alignment horizontal="left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7" xfId="0" applyBorder="1"/>
    <xf numFmtId="0" fontId="0" fillId="0" borderId="8" xfId="0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Blower Effs</a:t>
            </a:r>
          </a:p>
        </c:rich>
      </c:tx>
      <c:layout>
        <c:manualLayout>
          <c:xMode val="edge"/>
          <c:yMode val="edge"/>
          <c:x val="0.68938888888888894"/>
          <c:y val="4.1666666666666664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'Engine and Blower Eff'!$F$21</c:f>
              <c:strCache>
                <c:ptCount val="1"/>
                <c:pt idx="0">
                  <c:v>VE</c:v>
                </c:pt>
              </c:strCache>
            </c:strRef>
          </c:tx>
          <c:spPr>
            <a:ln w="28575">
              <a:noFill/>
            </a:ln>
          </c:spP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5.3476596675415572E-2"/>
                  <c:y val="-7.2895158938466029E-2"/>
                </c:manualLayout>
              </c:layout>
              <c:numFmt formatCode="0.000E+00" sourceLinked="0"/>
            </c:trendlineLbl>
          </c:trendline>
          <c:xVal>
            <c:numRef>
              <c:f>'Engine and Blower Eff'!$E$23:$E$32</c:f>
              <c:numCache>
                <c:formatCode>General</c:formatCode>
                <c:ptCount val="10"/>
                <c:pt idx="0">
                  <c:v>5520</c:v>
                </c:pt>
                <c:pt idx="1">
                  <c:v>6899.9999999999991</c:v>
                </c:pt>
                <c:pt idx="2">
                  <c:v>8280</c:v>
                </c:pt>
                <c:pt idx="3">
                  <c:v>9660</c:v>
                </c:pt>
                <c:pt idx="4">
                  <c:v>11040</c:v>
                </c:pt>
                <c:pt idx="5">
                  <c:v>12419.999999999998</c:v>
                </c:pt>
                <c:pt idx="6">
                  <c:v>13799.999999999998</c:v>
                </c:pt>
                <c:pt idx="7">
                  <c:v>15179.999999999998</c:v>
                </c:pt>
                <c:pt idx="8">
                  <c:v>16560</c:v>
                </c:pt>
                <c:pt idx="9">
                  <c:v>17940</c:v>
                </c:pt>
              </c:numCache>
            </c:numRef>
          </c:xVal>
          <c:yVal>
            <c:numRef>
              <c:f>'Engine and Blower Eff'!$F$23:$F$32</c:f>
              <c:numCache>
                <c:formatCode>0%</c:formatCode>
                <c:ptCount val="10"/>
                <c:pt idx="0">
                  <c:v>0.68</c:v>
                </c:pt>
                <c:pt idx="1">
                  <c:v>0.74</c:v>
                </c:pt>
                <c:pt idx="2">
                  <c:v>0.8</c:v>
                </c:pt>
                <c:pt idx="3">
                  <c:v>0.84</c:v>
                </c:pt>
                <c:pt idx="4">
                  <c:v>0.87</c:v>
                </c:pt>
                <c:pt idx="5">
                  <c:v>0.92</c:v>
                </c:pt>
                <c:pt idx="6">
                  <c:v>0.93</c:v>
                </c:pt>
                <c:pt idx="7">
                  <c:v>0.94</c:v>
                </c:pt>
                <c:pt idx="8">
                  <c:v>0.96</c:v>
                </c:pt>
                <c:pt idx="9">
                  <c:v>0.98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48-47C5-839E-DE1B5A80097F}"/>
            </c:ext>
          </c:extLst>
        </c:ser>
        <c:ser>
          <c:idx val="1"/>
          <c:order val="1"/>
          <c:tx>
            <c:strRef>
              <c:f>'Engine and Blower Eff'!$G$21</c:f>
              <c:strCache>
                <c:ptCount val="1"/>
                <c:pt idx="0">
                  <c:v>AE (@PR=2)</c:v>
                </c:pt>
              </c:strCache>
            </c:strRef>
          </c:tx>
          <c:spPr>
            <a:ln w="28575">
              <a:noFill/>
            </a:ln>
          </c:spP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9.7924978127734055E-2"/>
                  <c:y val="0.17209900845727627"/>
                </c:manualLayout>
              </c:layout>
              <c:numFmt formatCode="0.000E+00" sourceLinked="0"/>
            </c:trendlineLbl>
          </c:trendline>
          <c:xVal>
            <c:numRef>
              <c:f>'Engine and Blower Eff'!$E$23:$E$32</c:f>
              <c:numCache>
                <c:formatCode>General</c:formatCode>
                <c:ptCount val="10"/>
                <c:pt idx="0">
                  <c:v>5520</c:v>
                </c:pt>
                <c:pt idx="1">
                  <c:v>6899.9999999999991</c:v>
                </c:pt>
                <c:pt idx="2">
                  <c:v>8280</c:v>
                </c:pt>
                <c:pt idx="3">
                  <c:v>9660</c:v>
                </c:pt>
                <c:pt idx="4">
                  <c:v>11040</c:v>
                </c:pt>
                <c:pt idx="5">
                  <c:v>12419.999999999998</c:v>
                </c:pt>
                <c:pt idx="6">
                  <c:v>13799.999999999998</c:v>
                </c:pt>
                <c:pt idx="7">
                  <c:v>15179.999999999998</c:v>
                </c:pt>
                <c:pt idx="8">
                  <c:v>16560</c:v>
                </c:pt>
                <c:pt idx="9">
                  <c:v>17940</c:v>
                </c:pt>
              </c:numCache>
            </c:numRef>
          </c:xVal>
          <c:yVal>
            <c:numRef>
              <c:f>'Engine and Blower Eff'!$G$23:$G$32</c:f>
              <c:numCache>
                <c:formatCode>0%</c:formatCode>
                <c:ptCount val="10"/>
                <c:pt idx="0">
                  <c:v>0.7</c:v>
                </c:pt>
                <c:pt idx="1">
                  <c:v>0.76</c:v>
                </c:pt>
                <c:pt idx="2">
                  <c:v>0.77</c:v>
                </c:pt>
                <c:pt idx="3">
                  <c:v>0.78</c:v>
                </c:pt>
                <c:pt idx="4">
                  <c:v>0.77</c:v>
                </c:pt>
                <c:pt idx="5">
                  <c:v>0.76</c:v>
                </c:pt>
                <c:pt idx="6">
                  <c:v>0.74</c:v>
                </c:pt>
                <c:pt idx="7">
                  <c:v>0.72</c:v>
                </c:pt>
                <c:pt idx="8">
                  <c:v>0.71</c:v>
                </c:pt>
                <c:pt idx="9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548-47C5-839E-DE1B5A800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53920"/>
        <c:axId val="55137024"/>
      </c:scatterChart>
      <c:valAx>
        <c:axId val="5475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137024"/>
        <c:crosses val="autoZero"/>
        <c:crossBetween val="midCat"/>
      </c:valAx>
      <c:valAx>
        <c:axId val="5513702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547539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'Engine and Blower Eff'!$D$21</c:f>
              <c:strCache>
                <c:ptCount val="1"/>
                <c:pt idx="0">
                  <c:v>VE</c:v>
                </c:pt>
              </c:strCache>
            </c:strRef>
          </c:tx>
          <c:spPr>
            <a:ln w="28575">
              <a:noFill/>
            </a:ln>
          </c:spPr>
          <c:trendline>
            <c:trendlineType val="poly"/>
            <c:order val="2"/>
            <c:dispRSqr val="1"/>
            <c:dispEq val="1"/>
            <c:trendlineLbl>
              <c:layout>
                <c:manualLayout>
                  <c:x val="0.10038473315835521"/>
                  <c:y val="0.30012685914260762"/>
                </c:manualLayout>
              </c:layout>
              <c:numFmt formatCode="0.000E+00" sourceLinked="0"/>
            </c:trendlineLbl>
          </c:trendline>
          <c:xVal>
            <c:numRef>
              <c:f>'Engine and Blower Eff'!$C$23:$C$32</c:f>
              <c:numCache>
                <c:formatCode>General</c:formatCode>
                <c:ptCount val="10"/>
                <c:pt idx="0">
                  <c:v>2000</c:v>
                </c:pt>
                <c:pt idx="1">
                  <c:v>2500</c:v>
                </c:pt>
                <c:pt idx="2">
                  <c:v>3000</c:v>
                </c:pt>
                <c:pt idx="3">
                  <c:v>3500</c:v>
                </c:pt>
                <c:pt idx="4">
                  <c:v>4000</c:v>
                </c:pt>
                <c:pt idx="5">
                  <c:v>4500</c:v>
                </c:pt>
                <c:pt idx="6">
                  <c:v>5000</c:v>
                </c:pt>
                <c:pt idx="7">
                  <c:v>5500</c:v>
                </c:pt>
                <c:pt idx="8">
                  <c:v>6000</c:v>
                </c:pt>
                <c:pt idx="9">
                  <c:v>6500</c:v>
                </c:pt>
              </c:numCache>
            </c:numRef>
          </c:xVal>
          <c:yVal>
            <c:numRef>
              <c:f>'Engine and Blower Eff'!$D$23:$D$32</c:f>
              <c:numCache>
                <c:formatCode>0%</c:formatCode>
                <c:ptCount val="10"/>
                <c:pt idx="0">
                  <c:v>0.74069767441860468</c:v>
                </c:pt>
                <c:pt idx="1">
                  <c:v>0.8046511627906977</c:v>
                </c:pt>
                <c:pt idx="2">
                  <c:v>0.83953488372093032</c:v>
                </c:pt>
                <c:pt idx="3">
                  <c:v>0.88604651162790704</c:v>
                </c:pt>
                <c:pt idx="4">
                  <c:v>0.92674418604651165</c:v>
                </c:pt>
                <c:pt idx="5">
                  <c:v>0.95</c:v>
                </c:pt>
                <c:pt idx="6">
                  <c:v>0.94418604651162785</c:v>
                </c:pt>
                <c:pt idx="7">
                  <c:v>0.93255813953488376</c:v>
                </c:pt>
                <c:pt idx="8">
                  <c:v>0.90930232558139534</c:v>
                </c:pt>
                <c:pt idx="9">
                  <c:v>0.86860465116279073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C9-4779-871C-15EC42D9F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566720"/>
        <c:axId val="58462208"/>
      </c:scatterChart>
      <c:valAx>
        <c:axId val="5756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8462208"/>
        <c:crosses val="autoZero"/>
        <c:crossBetween val="midCat"/>
      </c:valAx>
      <c:valAx>
        <c:axId val="5846220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575667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Intercooler!$D$18</c:f>
              <c:strCache>
                <c:ptCount val="1"/>
                <c:pt idx="0">
                  <c:v>Int Eff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8.6385608048993895E-2"/>
                  <c:y val="-0.2398516331291923"/>
                </c:manualLayout>
              </c:layout>
              <c:numFmt formatCode="0.000E+00" sourceLinked="0"/>
            </c:trendlineLbl>
          </c:trendline>
          <c:xVal>
            <c:numRef>
              <c:f>Intercooler!$C$19:$C$27</c:f>
              <c:numCache>
                <c:formatCode>General</c:formatCode>
                <c:ptCount val="9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</c:numCache>
            </c:numRef>
          </c:xVal>
          <c:yVal>
            <c:numRef>
              <c:f>Intercooler!$D$19:$D$27</c:f>
              <c:numCache>
                <c:formatCode>0%</c:formatCode>
                <c:ptCount val="9"/>
                <c:pt idx="0">
                  <c:v>1</c:v>
                </c:pt>
                <c:pt idx="1">
                  <c:v>0.95</c:v>
                </c:pt>
                <c:pt idx="2">
                  <c:v>0.9</c:v>
                </c:pt>
                <c:pt idx="3">
                  <c:v>0.85</c:v>
                </c:pt>
                <c:pt idx="4">
                  <c:v>0.8</c:v>
                </c:pt>
                <c:pt idx="5">
                  <c:v>0.75</c:v>
                </c:pt>
                <c:pt idx="6">
                  <c:v>0.7</c:v>
                </c:pt>
                <c:pt idx="7">
                  <c:v>0.65</c:v>
                </c:pt>
                <c:pt idx="8">
                  <c:v>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48C-4EF3-A174-F77EB8818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24096"/>
        <c:axId val="124515456"/>
      </c:scatterChart>
      <c:valAx>
        <c:axId val="12432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515456"/>
        <c:crosses val="autoZero"/>
        <c:crossBetween val="midCat"/>
      </c:valAx>
      <c:valAx>
        <c:axId val="12451545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32409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Intercooler Pressure Drop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4905052493438318"/>
                  <c:y val="-5.1042578011081963E-3"/>
                </c:manualLayout>
              </c:layout>
              <c:numFmt formatCode="0.000E+00" sourceLinked="0"/>
            </c:trendlineLbl>
          </c:trendline>
          <c:xVal>
            <c:numRef>
              <c:f>Intercooler!$C$19:$C$27</c:f>
              <c:numCache>
                <c:formatCode>General</c:formatCode>
                <c:ptCount val="9"/>
                <c:pt idx="0">
                  <c:v>0</c:v>
                </c:pt>
                <c:pt idx="1">
                  <c:v>200</c:v>
                </c:pt>
                <c:pt idx="2">
                  <c:v>400</c:v>
                </c:pt>
                <c:pt idx="3">
                  <c:v>600</c:v>
                </c:pt>
                <c:pt idx="4">
                  <c:v>800</c:v>
                </c:pt>
                <c:pt idx="5">
                  <c:v>1000</c:v>
                </c:pt>
                <c:pt idx="6">
                  <c:v>1200</c:v>
                </c:pt>
                <c:pt idx="7">
                  <c:v>1400</c:v>
                </c:pt>
                <c:pt idx="8">
                  <c:v>1600</c:v>
                </c:pt>
              </c:numCache>
            </c:numRef>
          </c:xVal>
          <c:yVal>
            <c:numRef>
              <c:f>Intercooler!$E$19:$E$27</c:f>
              <c:numCache>
                <c:formatCode>0.00</c:formatCode>
                <c:ptCount val="9"/>
                <c:pt idx="0">
                  <c:v>0</c:v>
                </c:pt>
                <c:pt idx="1">
                  <c:v>0.18750000000000011</c:v>
                </c:pt>
                <c:pt idx="2">
                  <c:v>0.375</c:v>
                </c:pt>
                <c:pt idx="3">
                  <c:v>0.5625</c:v>
                </c:pt>
                <c:pt idx="4">
                  <c:v>0.75</c:v>
                </c:pt>
                <c:pt idx="5">
                  <c:v>0.93749999999999978</c:v>
                </c:pt>
                <c:pt idx="6">
                  <c:v>1.1249999999999998</c:v>
                </c:pt>
                <c:pt idx="7">
                  <c:v>1.3124999999999998</c:v>
                </c:pt>
                <c:pt idx="8">
                  <c:v>1.4999999999999998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4F-4FE9-AE57-C24618A61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651456"/>
        <c:axId val="149653376"/>
      </c:scatterChart>
      <c:valAx>
        <c:axId val="149651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9653376"/>
        <c:crosses val="autoZero"/>
        <c:crossBetween val="midCat"/>
      </c:valAx>
      <c:valAx>
        <c:axId val="14965337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496514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2</xdr:row>
      <xdr:rowOff>76200</xdr:rowOff>
    </xdr:from>
    <xdr:to>
      <xdr:col>16</xdr:col>
      <xdr:colOff>200025</xdr:colOff>
      <xdr:row>16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7</xdr:col>
      <xdr:colOff>447675</xdr:colOff>
      <xdr:row>16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304800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542925</xdr:colOff>
      <xdr:row>1</xdr:row>
      <xdr:rowOff>28575</xdr:rowOff>
    </xdr:from>
    <xdr:to>
      <xdr:col>16</xdr:col>
      <xdr:colOff>238125</xdr:colOff>
      <xdr:row>15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58"/>
  <sheetViews>
    <sheetView tabSelected="1" topLeftCell="A4" workbookViewId="0">
      <selection activeCell="G8" sqref="G8"/>
    </sheetView>
  </sheetViews>
  <sheetFormatPr defaultRowHeight="15" x14ac:dyDescent="0.25"/>
  <cols>
    <col min="2" max="2" width="11.5703125" customWidth="1"/>
    <col min="3" max="3" width="13" customWidth="1"/>
    <col min="4" max="4" width="10" customWidth="1"/>
    <col min="5" max="5" width="9.5703125" bestFit="1" customWidth="1"/>
    <col min="6" max="6" width="11.5703125" customWidth="1"/>
    <col min="7" max="8" width="9.85546875" customWidth="1"/>
    <col min="9" max="9" width="11" customWidth="1"/>
    <col min="10" max="10" width="8" customWidth="1"/>
    <col min="11" max="11" width="12.5703125" customWidth="1"/>
    <col min="12" max="13" width="11.28515625" customWidth="1"/>
    <col min="14" max="14" width="12.5703125" customWidth="1"/>
    <col min="15" max="15" width="9" customWidth="1"/>
  </cols>
  <sheetData>
    <row r="1" spans="1:15" x14ac:dyDescent="0.25">
      <c r="A1" s="102" t="s">
        <v>29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4"/>
      <c r="N1" t="s">
        <v>68</v>
      </c>
    </row>
    <row r="2" spans="1:15" ht="15.75" thickBot="1" x14ac:dyDescent="0.3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7"/>
    </row>
    <row r="3" spans="1:15" ht="18.75" x14ac:dyDescent="0.25">
      <c r="A3" s="108" t="s">
        <v>36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</row>
    <row r="4" spans="1:15" ht="15.75" thickBot="1" x14ac:dyDescent="0.3"/>
    <row r="5" spans="1:15" x14ac:dyDescent="0.25">
      <c r="A5" s="92" t="s">
        <v>30</v>
      </c>
      <c r="B5" s="93"/>
      <c r="C5" s="94"/>
      <c r="E5" s="92" t="s">
        <v>31</v>
      </c>
      <c r="F5" s="93"/>
      <c r="G5" s="94"/>
      <c r="H5" s="3"/>
      <c r="I5" s="90" t="s">
        <v>35</v>
      </c>
      <c r="J5" s="91"/>
      <c r="L5" s="109" t="s">
        <v>9</v>
      </c>
      <c r="M5" s="110"/>
    </row>
    <row r="6" spans="1:15" x14ac:dyDescent="0.25">
      <c r="A6" s="98" t="s">
        <v>1</v>
      </c>
      <c r="B6" s="99"/>
      <c r="C6" s="84">
        <v>364</v>
      </c>
      <c r="E6" s="98" t="s">
        <v>2</v>
      </c>
      <c r="F6" s="99"/>
      <c r="G6" s="84">
        <v>140.4</v>
      </c>
      <c r="I6" s="53" t="s">
        <v>5</v>
      </c>
      <c r="J6" s="6" t="s">
        <v>3</v>
      </c>
      <c r="L6" s="23" t="s">
        <v>7</v>
      </c>
      <c r="M6" s="37">
        <v>7.5270000000000001</v>
      </c>
    </row>
    <row r="7" spans="1:15" ht="15.75" thickBot="1" x14ac:dyDescent="0.3">
      <c r="A7" s="98" t="s">
        <v>0</v>
      </c>
      <c r="B7" s="99"/>
      <c r="C7" s="85">
        <v>7.53</v>
      </c>
      <c r="E7" s="98" t="s">
        <v>10</v>
      </c>
      <c r="F7" s="99"/>
      <c r="G7" s="85">
        <v>3</v>
      </c>
      <c r="I7" s="54">
        <v>2.2999999999999998</v>
      </c>
      <c r="J7" s="7">
        <f>I7*61.0237</f>
        <v>140.35450999999998</v>
      </c>
      <c r="L7" s="23" t="s">
        <v>60</v>
      </c>
      <c r="M7" s="37">
        <f>1.1*M6</f>
        <v>8.2797000000000001</v>
      </c>
    </row>
    <row r="8" spans="1:15" ht="15.75" thickBot="1" x14ac:dyDescent="0.3">
      <c r="A8" s="98" t="s">
        <v>15</v>
      </c>
      <c r="B8" s="99"/>
      <c r="C8" s="84">
        <v>77</v>
      </c>
      <c r="E8" s="100" t="s">
        <v>46</v>
      </c>
      <c r="F8" s="101"/>
      <c r="G8" s="87">
        <v>2</v>
      </c>
      <c r="I8" s="55" t="s">
        <v>6</v>
      </c>
      <c r="J8" s="8" t="s">
        <v>4</v>
      </c>
      <c r="L8" s="23" t="s">
        <v>8</v>
      </c>
      <c r="M8" s="24">
        <v>7.53</v>
      </c>
    </row>
    <row r="9" spans="1:15" ht="15.75" thickBot="1" x14ac:dyDescent="0.3">
      <c r="A9" s="100" t="s">
        <v>47</v>
      </c>
      <c r="B9" s="101"/>
      <c r="C9" s="86">
        <v>14.4</v>
      </c>
      <c r="H9" s="4"/>
      <c r="I9" s="56">
        <v>1.9</v>
      </c>
      <c r="J9" s="9">
        <f>I9/61.0237</f>
        <v>3.1135444097948828E-2</v>
      </c>
      <c r="L9" s="25" t="s">
        <v>59</v>
      </c>
      <c r="M9" s="26">
        <v>7.48</v>
      </c>
    </row>
    <row r="10" spans="1:15" x14ac:dyDescent="0.25">
      <c r="H10" s="2"/>
    </row>
    <row r="11" spans="1:15" ht="15.75" thickBot="1" x14ac:dyDescent="0.3"/>
    <row r="12" spans="1:15" x14ac:dyDescent="0.25">
      <c r="A12" s="95" t="s">
        <v>55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7"/>
    </row>
    <row r="13" spans="1:15" x14ac:dyDescent="0.25">
      <c r="A13" s="74" t="s">
        <v>39</v>
      </c>
      <c r="B13" s="75" t="s">
        <v>77</v>
      </c>
      <c r="C13" s="76" t="s">
        <v>49</v>
      </c>
      <c r="D13" s="75" t="s">
        <v>76</v>
      </c>
      <c r="E13" s="75" t="s">
        <v>57</v>
      </c>
      <c r="F13" s="75" t="s">
        <v>61</v>
      </c>
      <c r="G13" s="75" t="s">
        <v>62</v>
      </c>
      <c r="H13" s="75" t="s">
        <v>75</v>
      </c>
      <c r="I13" s="75" t="s">
        <v>74</v>
      </c>
      <c r="J13" s="75" t="s">
        <v>73</v>
      </c>
      <c r="K13" s="75" t="s">
        <v>72</v>
      </c>
      <c r="L13" s="75" t="s">
        <v>71</v>
      </c>
      <c r="M13" s="75" t="s">
        <v>70</v>
      </c>
      <c r="N13" s="77" t="s">
        <v>69</v>
      </c>
    </row>
    <row r="14" spans="1:15" x14ac:dyDescent="0.25">
      <c r="A14" s="18">
        <v>2500</v>
      </c>
      <c r="B14" s="32">
        <f>$D$54</f>
        <v>8.7371560458482413</v>
      </c>
      <c r="C14" s="34">
        <f>$D$56</f>
        <v>1.6693373104054969</v>
      </c>
      <c r="D14" s="42">
        <f>$D$49</f>
        <v>103.64228367678923</v>
      </c>
      <c r="E14" s="42">
        <f>$G$36</f>
        <v>6275.0000000000009</v>
      </c>
      <c r="F14" s="42">
        <f>$G$37</f>
        <v>365.16803251935494</v>
      </c>
      <c r="G14" s="42">
        <f>$C$37</f>
        <v>210.80953357099995</v>
      </c>
      <c r="H14" s="27">
        <f>$G$35</f>
        <v>0.71623481812500001</v>
      </c>
      <c r="I14" s="27">
        <f>$C$36</f>
        <v>0.80061249999999995</v>
      </c>
      <c r="J14" s="27">
        <f>$D$45</f>
        <v>0.73527884312500003</v>
      </c>
      <c r="K14" s="72">
        <f>$G$39</f>
        <v>0.34234503048689524</v>
      </c>
      <c r="L14" s="27">
        <f>$G$38</f>
        <v>0.90870799187016127</v>
      </c>
      <c r="M14" s="42">
        <f>(B14*F14/229)/(0.97*J14)</f>
        <v>19.534556579186205</v>
      </c>
      <c r="N14" s="82">
        <f>(M14*550)/((A14*$C$7)/229)</f>
        <v>130.69733870642776</v>
      </c>
    </row>
    <row r="15" spans="1:15" x14ac:dyDescent="0.25">
      <c r="A15" s="18">
        <v>2750</v>
      </c>
      <c r="B15" s="32">
        <f t="dataTable" ref="B15:L32" dt2D="0" dtr="0" r1="C35"/>
        <v>8.6876451403743253</v>
      </c>
      <c r="C15" s="34">
        <v>1.6611104675444801</v>
      </c>
      <c r="D15" s="42">
        <v>105.10439511404938</v>
      </c>
      <c r="E15" s="42">
        <v>6902.5000000000009</v>
      </c>
      <c r="F15" s="42">
        <v>415.92944100658286</v>
      </c>
      <c r="G15" s="42">
        <v>240.13530903862502</v>
      </c>
      <c r="H15" s="27">
        <v>0.74163403993124999</v>
      </c>
      <c r="I15" s="27">
        <v>0.82907812500000011</v>
      </c>
      <c r="J15" s="27">
        <v>0.74391572018125007</v>
      </c>
      <c r="K15" s="72">
        <v>0.38993385094367145</v>
      </c>
      <c r="L15" s="27">
        <v>0.89601763974835424</v>
      </c>
      <c r="M15" s="42">
        <f t="shared" ref="M15:M32" si="0">(B15*F15/229)/(0.97*J15)</f>
        <v>21.867079447801849</v>
      </c>
      <c r="N15" s="82">
        <f t="shared" ref="N15:N32" si="1">(M15*550)/((A15*$C$7)/229)</f>
        <v>133.0029533478519</v>
      </c>
      <c r="O15" s="45"/>
    </row>
    <row r="16" spans="1:15" x14ac:dyDescent="0.25">
      <c r="A16" s="18">
        <v>3000</v>
      </c>
      <c r="B16" s="32">
        <v>8.6794543217994278</v>
      </c>
      <c r="C16" s="34">
        <v>1.6558683804331853</v>
      </c>
      <c r="D16" s="42">
        <v>106.67041414250554</v>
      </c>
      <c r="E16" s="42">
        <v>7530.0000000000009</v>
      </c>
      <c r="F16" s="42">
        <v>468.46603660579427</v>
      </c>
      <c r="G16" s="42">
        <v>269.95100627039994</v>
      </c>
      <c r="H16" s="27">
        <v>0.76570157810000006</v>
      </c>
      <c r="I16" s="27">
        <v>0.85434999999999994</v>
      </c>
      <c r="J16" s="27">
        <v>0.7512524141000001</v>
      </c>
      <c r="K16" s="72">
        <v>0.43918690931793214</v>
      </c>
      <c r="L16" s="27">
        <v>0.88288349084855144</v>
      </c>
      <c r="M16" s="42">
        <f t="shared" si="0"/>
        <v>24.36561822144759</v>
      </c>
      <c r="N16" s="82">
        <f t="shared" si="1"/>
        <v>135.84991655561416</v>
      </c>
      <c r="O16" s="45"/>
    </row>
    <row r="17" spans="1:15" x14ac:dyDescent="0.25">
      <c r="A17" s="18">
        <v>3250</v>
      </c>
      <c r="B17" s="32">
        <v>8.7095050746105365</v>
      </c>
      <c r="C17" s="34">
        <v>1.6533090542675954</v>
      </c>
      <c r="D17" s="42">
        <v>108.3537381566573</v>
      </c>
      <c r="E17" s="42">
        <v>8157.5000000000009</v>
      </c>
      <c r="F17" s="42">
        <v>522.57413403883515</v>
      </c>
      <c r="G17" s="42">
        <v>300.00434106597504</v>
      </c>
      <c r="H17" s="27">
        <v>0.78843743263124999</v>
      </c>
      <c r="I17" s="27">
        <v>0.87642812500000011</v>
      </c>
      <c r="J17" s="27">
        <v>0.75728892488124999</v>
      </c>
      <c r="K17" s="72">
        <v>0.48991325066140795</v>
      </c>
      <c r="L17" s="27">
        <v>0.86935646649029119</v>
      </c>
      <c r="M17" s="42">
        <f t="shared" si="0"/>
        <v>27.056559061564752</v>
      </c>
      <c r="N17" s="82">
        <f t="shared" si="1"/>
        <v>139.24910057428053</v>
      </c>
      <c r="O17" s="45"/>
    </row>
    <row r="18" spans="1:15" x14ac:dyDescent="0.25">
      <c r="A18" s="18">
        <v>3500</v>
      </c>
      <c r="B18" s="32">
        <v>8.775914728040842</v>
      </c>
      <c r="C18" s="34">
        <v>1.6532205729939784</v>
      </c>
      <c r="D18" s="42">
        <v>110.16907079541551</v>
      </c>
      <c r="E18" s="42">
        <v>8785</v>
      </c>
      <c r="F18" s="42">
        <v>578.05004802755195</v>
      </c>
      <c r="G18" s="42">
        <v>330.043029225</v>
      </c>
      <c r="H18" s="27">
        <v>0.80984160352500001</v>
      </c>
      <c r="I18" s="27">
        <v>0.89531249999999996</v>
      </c>
      <c r="J18" s="27">
        <v>0.76202525252499997</v>
      </c>
      <c r="K18" s="72">
        <v>0.54192192002582995</v>
      </c>
      <c r="L18" s="27">
        <v>0.85548748799311203</v>
      </c>
      <c r="M18" s="42">
        <f t="shared" si="0"/>
        <v>29.969621370029166</v>
      </c>
      <c r="N18" s="82">
        <f t="shared" si="1"/>
        <v>143.22420077993448</v>
      </c>
      <c r="O18" s="45"/>
    </row>
    <row r="19" spans="1:15" x14ac:dyDescent="0.25">
      <c r="A19" s="18">
        <v>3750</v>
      </c>
      <c r="B19" s="32">
        <v>8.8777788536654256</v>
      </c>
      <c r="C19" s="34">
        <v>1.655461715838894</v>
      </c>
      <c r="D19" s="42">
        <v>112.13274805207361</v>
      </c>
      <c r="E19" s="42">
        <v>9412.5</v>
      </c>
      <c r="F19" s="42">
        <v>634.69009329379082</v>
      </c>
      <c r="G19" s="42">
        <v>359.81478654712504</v>
      </c>
      <c r="H19" s="27">
        <v>0.82991409078125</v>
      </c>
      <c r="I19" s="27">
        <v>0.91100312500000014</v>
      </c>
      <c r="J19" s="27">
        <v>0.76546139703125005</v>
      </c>
      <c r="K19" s="72">
        <v>0.59502196246292882</v>
      </c>
      <c r="L19" s="27">
        <v>0.84132747667655228</v>
      </c>
      <c r="M19" s="42">
        <f t="shared" si="0"/>
        <v>33.138704909285586</v>
      </c>
      <c r="N19" s="82">
        <f t="shared" si="1"/>
        <v>147.81123978130216</v>
      </c>
      <c r="O19" s="45"/>
    </row>
    <row r="20" spans="1:15" x14ac:dyDescent="0.25">
      <c r="A20" s="18">
        <v>4000</v>
      </c>
      <c r="B20" s="32">
        <v>9.0150333647163485</v>
      </c>
      <c r="C20" s="34">
        <v>1.6599487385345144</v>
      </c>
      <c r="D20" s="42">
        <v>114.26310601265808</v>
      </c>
      <c r="E20" s="42">
        <v>10040.000000000002</v>
      </c>
      <c r="F20" s="42">
        <v>692.29058455939798</v>
      </c>
      <c r="G20" s="42">
        <v>389.06732883199999</v>
      </c>
      <c r="H20" s="27">
        <v>0.84865489440000008</v>
      </c>
      <c r="I20" s="27">
        <v>0.92349999999999999</v>
      </c>
      <c r="J20" s="27">
        <v>0.76759735839999998</v>
      </c>
      <c r="K20" s="72">
        <v>0.64902242302443558</v>
      </c>
      <c r="L20" s="27">
        <v>0.82692735386015048</v>
      </c>
      <c r="M20" s="42">
        <f t="shared" si="0"/>
        <v>36.602864603179185</v>
      </c>
      <c r="N20" s="82">
        <f t="shared" si="1"/>
        <v>153.0587913934402</v>
      </c>
      <c r="O20" s="45"/>
    </row>
    <row r="21" spans="1:15" x14ac:dyDescent="0.25">
      <c r="A21" s="18">
        <v>4250</v>
      </c>
      <c r="B21" s="32">
        <v>9.1883751072321065</v>
      </c>
      <c r="C21" s="34">
        <v>1.6666464783351478</v>
      </c>
      <c r="D21" s="42">
        <v>116.58090833760437</v>
      </c>
      <c r="E21" s="42">
        <v>10667.500000000002</v>
      </c>
      <c r="F21" s="42">
        <v>750.64783654621942</v>
      </c>
      <c r="G21" s="42">
        <v>417.54837187927495</v>
      </c>
      <c r="H21" s="27">
        <v>0.86606401438125014</v>
      </c>
      <c r="I21" s="27">
        <v>0.93280312499999996</v>
      </c>
      <c r="J21" s="27">
        <v>0.76843313663125001</v>
      </c>
      <c r="K21" s="72">
        <v>0.70373234676208063</v>
      </c>
      <c r="L21" s="27">
        <v>0.81233804086344508</v>
      </c>
      <c r="M21" s="42">
        <f t="shared" si="0"/>
        <v>40.407469410246449</v>
      </c>
      <c r="N21" s="82">
        <f t="shared" si="1"/>
        <v>159.02885000298542</v>
      </c>
    </row>
    <row r="22" spans="1:15" x14ac:dyDescent="0.25">
      <c r="A22" s="18">
        <v>4500</v>
      </c>
      <c r="B22" s="32">
        <v>9.3992284282798249</v>
      </c>
      <c r="C22" s="34">
        <v>1.6755626217238262</v>
      </c>
      <c r="D22" s="42">
        <v>119.10985436510198</v>
      </c>
      <c r="E22" s="42">
        <v>11295.000000000002</v>
      </c>
      <c r="F22" s="42">
        <v>809.55816397610135</v>
      </c>
      <c r="G22" s="42">
        <v>445.00563148859999</v>
      </c>
      <c r="H22" s="27">
        <v>0.88214145072500005</v>
      </c>
      <c r="I22" s="27">
        <v>0.93891250000000004</v>
      </c>
      <c r="J22" s="27">
        <v>0.76796873172500002</v>
      </c>
      <c r="K22" s="72">
        <v>0.75896077872759504</v>
      </c>
      <c r="L22" s="27">
        <v>0.79761045900597471</v>
      </c>
      <c r="M22" s="42">
        <f t="shared" si="0"/>
        <v>44.605612439963174</v>
      </c>
      <c r="N22" s="82">
        <f t="shared" si="1"/>
        <v>165.79834401101849</v>
      </c>
    </row>
    <row r="23" spans="1:15" x14ac:dyDescent="0.25">
      <c r="A23" s="18">
        <v>4750</v>
      </c>
      <c r="B23" s="32">
        <v>9.6497510701259692</v>
      </c>
      <c r="C23" s="34">
        <v>1.686744408706971</v>
      </c>
      <c r="D23" s="42">
        <v>121.87719335410601</v>
      </c>
      <c r="E23" s="42">
        <v>11922.500000000002</v>
      </c>
      <c r="F23" s="42">
        <v>868.81788157089034</v>
      </c>
      <c r="G23" s="42">
        <v>471.18682345962515</v>
      </c>
      <c r="H23" s="27">
        <v>0.89688720343125006</v>
      </c>
      <c r="I23" s="27">
        <v>0.94182812500000024</v>
      </c>
      <c r="J23" s="27">
        <v>0.76620414368125001</v>
      </c>
      <c r="K23" s="72">
        <v>0.81451676397270967</v>
      </c>
      <c r="L23" s="27">
        <v>0.78279552960727738</v>
      </c>
      <c r="M23" s="42">
        <f t="shared" si="0"/>
        <v>49.259857143131448</v>
      </c>
      <c r="N23" s="82">
        <f t="shared" si="1"/>
        <v>173.46135478234166</v>
      </c>
    </row>
    <row r="24" spans="1:15" x14ac:dyDescent="0.25">
      <c r="A24" s="18">
        <v>5000</v>
      </c>
      <c r="B24" s="32">
        <v>9.942877090249624</v>
      </c>
      <c r="C24" s="34">
        <v>1.7002773406357308</v>
      </c>
      <c r="D24" s="42">
        <v>124.91447727203693</v>
      </c>
      <c r="E24" s="42">
        <v>12550.000000000002</v>
      </c>
      <c r="F24" s="42">
        <v>928.22330405243247</v>
      </c>
      <c r="G24" s="42">
        <v>495.83966359199991</v>
      </c>
      <c r="H24" s="27">
        <v>0.91030127250000015</v>
      </c>
      <c r="I24" s="27">
        <v>0.94154999999999989</v>
      </c>
      <c r="J24" s="27">
        <v>0.76313937249999997</v>
      </c>
      <c r="K24" s="72">
        <v>0.87020934754915535</v>
      </c>
      <c r="L24" s="27">
        <v>0.76794417398689185</v>
      </c>
      <c r="M24" s="42">
        <f t="shared" si="0"/>
        <v>54.444430746575719</v>
      </c>
      <c r="N24" s="82">
        <f t="shared" si="1"/>
        <v>182.13216606988613</v>
      </c>
    </row>
    <row r="25" spans="1:15" x14ac:dyDescent="0.25">
      <c r="A25" s="18">
        <v>5250</v>
      </c>
      <c r="B25" s="32">
        <v>10.282398187849052</v>
      </c>
      <c r="C25" s="34">
        <v>1.7162856706365262</v>
      </c>
      <c r="D25" s="42">
        <v>128.25849436080722</v>
      </c>
      <c r="E25" s="42">
        <v>13177.500000000002</v>
      </c>
      <c r="F25" s="42">
        <v>987.57074614257328</v>
      </c>
      <c r="G25" s="42">
        <v>518.71186768537495</v>
      </c>
      <c r="H25" s="27">
        <v>0.9223836579312501</v>
      </c>
      <c r="I25" s="27">
        <v>0.9380781250000001</v>
      </c>
      <c r="J25" s="27">
        <v>0.75877441818124991</v>
      </c>
      <c r="K25" s="72">
        <v>0.9258475745086624</v>
      </c>
      <c r="L25" s="27">
        <v>0.75310731346435666</v>
      </c>
      <c r="M25" s="42">
        <f t="shared" si="0"/>
        <v>60.248014314254881</v>
      </c>
      <c r="N25" s="82">
        <f t="shared" si="1"/>
        <v>191.94934301853925</v>
      </c>
    </row>
    <row r="26" spans="1:15" x14ac:dyDescent="0.25">
      <c r="A26" s="18">
        <v>5500</v>
      </c>
      <c r="B26" s="32">
        <v>10.67308845139195</v>
      </c>
      <c r="C26" s="34">
        <v>1.7349346259264049</v>
      </c>
      <c r="D26" s="42">
        <v>131.95243959856867</v>
      </c>
      <c r="E26" s="42">
        <v>13805.000000000002</v>
      </c>
      <c r="F26" s="42">
        <v>1046.65652256316</v>
      </c>
      <c r="G26" s="42">
        <v>539.55115153939994</v>
      </c>
      <c r="H26" s="27">
        <v>0.93313435972500003</v>
      </c>
      <c r="I26" s="27">
        <v>0.93141249999999998</v>
      </c>
      <c r="J26" s="27">
        <v>0.75310928072499994</v>
      </c>
      <c r="K26" s="72">
        <v>0.98124048990296253</v>
      </c>
      <c r="L26" s="27">
        <v>0.73833586935920992</v>
      </c>
      <c r="M26" s="42">
        <f t="shared" si="0"/>
        <v>66.777334039732793</v>
      </c>
      <c r="N26" s="82">
        <f t="shared" si="1"/>
        <v>203.08113539307845</v>
      </c>
    </row>
    <row r="27" spans="1:15" x14ac:dyDescent="0.25">
      <c r="A27" s="18">
        <v>5750</v>
      </c>
      <c r="B27" s="32">
        <v>11.120881697811548</v>
      </c>
      <c r="C27" s="34">
        <v>1.7564344674436358</v>
      </c>
      <c r="D27" s="42">
        <v>136.04739783158735</v>
      </c>
      <c r="E27" s="42">
        <v>14432.500000000002</v>
      </c>
      <c r="F27" s="42">
        <v>1105.276948036038</v>
      </c>
      <c r="G27" s="42">
        <v>558.10523095372503</v>
      </c>
      <c r="H27" s="27">
        <v>0.94255337788125004</v>
      </c>
      <c r="I27" s="27">
        <v>0.9215531250000002</v>
      </c>
      <c r="J27" s="27">
        <v>0.74614396013125006</v>
      </c>
      <c r="K27" s="72">
        <v>1.0361971387837856</v>
      </c>
      <c r="L27" s="27">
        <v>0.72368076299099049</v>
      </c>
      <c r="M27" s="42">
        <f t="shared" si="0"/>
        <v>74.161838695999094</v>
      </c>
      <c r="N27" s="82">
        <f t="shared" si="1"/>
        <v>215.73263083921904</v>
      </c>
    </row>
    <row r="28" spans="1:15" x14ac:dyDescent="0.25">
      <c r="A28" s="18">
        <v>6000</v>
      </c>
      <c r="B28" s="32">
        <v>11.633115902038838</v>
      </c>
      <c r="C28" s="34">
        <v>1.7810466582795652</v>
      </c>
      <c r="D28" s="42">
        <v>140.60424342039695</v>
      </c>
      <c r="E28" s="42">
        <v>15060.000000000002</v>
      </c>
      <c r="F28" s="42">
        <v>1163.2283372830539</v>
      </c>
      <c r="G28" s="42">
        <v>574.12182172799987</v>
      </c>
      <c r="H28" s="27">
        <v>0.95064071240000003</v>
      </c>
      <c r="I28" s="27">
        <v>0.90849999999999986</v>
      </c>
      <c r="J28" s="27">
        <v>0.73787845640000005</v>
      </c>
      <c r="K28" s="72">
        <v>1.0905265662028629</v>
      </c>
      <c r="L28" s="27">
        <v>0.70919291567923648</v>
      </c>
      <c r="M28" s="42">
        <f t="shared" si="0"/>
        <v>82.559866363074818</v>
      </c>
      <c r="N28" s="82">
        <f t="shared" si="1"/>
        <v>230.1552715455793</v>
      </c>
    </row>
    <row r="29" spans="1:15" x14ac:dyDescent="0.25">
      <c r="A29" s="18">
        <v>6250</v>
      </c>
      <c r="B29" s="32">
        <v>12.218866598526823</v>
      </c>
      <c r="C29" s="34">
        <v>1.809092613926071</v>
      </c>
      <c r="D29" s="42">
        <v>145.69610081833525</v>
      </c>
      <c r="E29" s="42">
        <v>15687.500000000002</v>
      </c>
      <c r="F29" s="42">
        <v>1220.3070050260537</v>
      </c>
      <c r="G29" s="42">
        <v>587.34863966187504</v>
      </c>
      <c r="H29" s="27">
        <v>0.95739636328125011</v>
      </c>
      <c r="I29" s="27">
        <v>0.89225312500000009</v>
      </c>
      <c r="J29" s="27">
        <v>0.7283127695312499</v>
      </c>
      <c r="K29" s="72">
        <v>1.1440378172119254</v>
      </c>
      <c r="L29" s="27">
        <v>0.69492324874348654</v>
      </c>
      <c r="M29" s="42">
        <f t="shared" si="0"/>
        <v>92.166880076383578</v>
      </c>
      <c r="N29" s="82">
        <f t="shared" si="1"/>
        <v>246.65962381132562</v>
      </c>
    </row>
    <row r="30" spans="1:15" x14ac:dyDescent="0.25">
      <c r="A30" s="18">
        <v>6500</v>
      </c>
      <c r="B30" s="32">
        <v>12.889401909296286</v>
      </c>
      <c r="C30" s="34">
        <v>1.8409657775869581</v>
      </c>
      <c r="D30" s="42">
        <v>151.41157001837632</v>
      </c>
      <c r="E30" s="42">
        <v>16315.000000000002</v>
      </c>
      <c r="F30" s="42">
        <v>1276.3092659868837</v>
      </c>
      <c r="G30" s="42">
        <v>597.53340055500007</v>
      </c>
      <c r="H30" s="27">
        <v>0.96282033052500005</v>
      </c>
      <c r="I30" s="27">
        <v>0.87281250000000021</v>
      </c>
      <c r="J30" s="27">
        <v>0.71744689952499996</v>
      </c>
      <c r="K30" s="72">
        <v>1.1965399368627034</v>
      </c>
      <c r="L30" s="27">
        <v>0.68092268350327911</v>
      </c>
      <c r="M30" s="42">
        <f t="shared" si="0"/>
        <v>103.22662024905014</v>
      </c>
      <c r="N30" s="82">
        <f t="shared" si="1"/>
        <v>265.63270651482003</v>
      </c>
    </row>
    <row r="31" spans="1:15" x14ac:dyDescent="0.25">
      <c r="A31" s="18">
        <v>6750</v>
      </c>
      <c r="B31" s="32">
        <v>13.658808166365247</v>
      </c>
      <c r="C31" s="34">
        <v>1.8771481521094864</v>
      </c>
      <c r="D31" s="42">
        <v>157.85900959490579</v>
      </c>
      <c r="E31" s="42">
        <v>16942.5</v>
      </c>
      <c r="F31" s="42">
        <v>1331.0314348873906</v>
      </c>
      <c r="G31" s="42">
        <v>604.42382020702519</v>
      </c>
      <c r="H31" s="27">
        <v>0.96691261413125007</v>
      </c>
      <c r="I31" s="27">
        <v>0.85017812500000023</v>
      </c>
      <c r="J31" s="27">
        <v>0.70528084638124988</v>
      </c>
      <c r="K31" s="72">
        <v>1.2478419702069286</v>
      </c>
      <c r="L31" s="27">
        <v>0.6672421412781524</v>
      </c>
      <c r="M31" s="42">
        <f t="shared" si="0"/>
        <v>116.04643721440547</v>
      </c>
      <c r="N31" s="82">
        <f t="shared" si="1"/>
        <v>287.56182710450781</v>
      </c>
    </row>
    <row r="32" spans="1:15" ht="15.75" thickBot="1" x14ac:dyDescent="0.3">
      <c r="A32" s="19">
        <v>7000</v>
      </c>
      <c r="B32" s="33">
        <v>14.544860564291962</v>
      </c>
      <c r="C32" s="43">
        <v>1.9182330060100772</v>
      </c>
      <c r="D32" s="44">
        <v>165.17230506343424</v>
      </c>
      <c r="E32" s="44">
        <v>17570</v>
      </c>
      <c r="F32" s="44">
        <v>1384.26982644942</v>
      </c>
      <c r="G32" s="44">
        <v>607.76761441759993</v>
      </c>
      <c r="H32" s="28">
        <v>0.96967321410000007</v>
      </c>
      <c r="I32" s="28">
        <v>0.82434999999999992</v>
      </c>
      <c r="J32" s="28">
        <v>0.6918146101</v>
      </c>
      <c r="K32" s="73">
        <v>1.2977529622963311</v>
      </c>
      <c r="L32" s="28">
        <v>0.65393254338764506</v>
      </c>
      <c r="M32" s="44">
        <f t="shared" si="0"/>
        <v>131.01872495140373</v>
      </c>
      <c r="N32" s="83">
        <f t="shared" si="1"/>
        <v>313.06788859095616</v>
      </c>
    </row>
    <row r="34" spans="1:9" x14ac:dyDescent="0.25">
      <c r="A34" s="89" t="s">
        <v>63</v>
      </c>
      <c r="B34" s="89"/>
      <c r="C34" s="89"/>
      <c r="D34" s="50"/>
      <c r="E34" s="89" t="s">
        <v>64</v>
      </c>
      <c r="F34" s="89"/>
      <c r="G34" s="89"/>
      <c r="H34" s="46"/>
      <c r="I34" s="46"/>
    </row>
    <row r="35" spans="1:9" x14ac:dyDescent="0.25">
      <c r="A35" s="50" t="s">
        <v>56</v>
      </c>
      <c r="B35" s="50"/>
      <c r="C35" s="79">
        <v>2500</v>
      </c>
      <c r="D35" s="50"/>
      <c r="E35" s="50" t="s">
        <v>14</v>
      </c>
      <c r="F35" s="50"/>
      <c r="G35" s="80">
        <f>-0.000000001691*G36^2+0.00006276*G36+0.389</f>
        <v>0.71623481812500001</v>
      </c>
      <c r="H35" s="46"/>
      <c r="I35" s="46"/>
    </row>
    <row r="36" spans="1:9" x14ac:dyDescent="0.25">
      <c r="A36" s="50" t="s">
        <v>13</v>
      </c>
      <c r="B36" s="50"/>
      <c r="C36" s="80">
        <f>-0.00000002555*C35^2+0.000248*C35+0.3403</f>
        <v>0.80061249999999995</v>
      </c>
      <c r="D36" s="50"/>
      <c r="E36" s="81" t="s">
        <v>48</v>
      </c>
      <c r="F36" s="70"/>
      <c r="G36" s="79">
        <f>(C7/G7)*C35</f>
        <v>6275.0000000000009</v>
      </c>
      <c r="H36" s="46"/>
      <c r="I36" s="46"/>
    </row>
    <row r="37" spans="1:9" x14ac:dyDescent="0.25">
      <c r="A37" s="50" t="s">
        <v>11</v>
      </c>
      <c r="B37" s="50"/>
      <c r="C37" s="67">
        <f>(C6*C36*C35/2)*0.000578704</f>
        <v>210.80953357099995</v>
      </c>
      <c r="D37" s="50"/>
      <c r="E37" s="50" t="s">
        <v>12</v>
      </c>
      <c r="F37" s="50"/>
      <c r="G37" s="67">
        <f>C35*G35*(C7/G7)*G6*0.000578704</f>
        <v>365.16803251935494</v>
      </c>
      <c r="H37" s="46"/>
      <c r="I37" s="46"/>
    </row>
    <row r="38" spans="1:9" x14ac:dyDescent="0.25">
      <c r="A38" s="50"/>
      <c r="B38" s="50"/>
      <c r="C38" s="50"/>
      <c r="D38" s="50"/>
      <c r="E38" s="50" t="s">
        <v>45</v>
      </c>
      <c r="F38" s="50"/>
      <c r="G38" s="80">
        <f>-0.00025*G37+1</f>
        <v>0.90870799187016127</v>
      </c>
      <c r="H38" s="46"/>
      <c r="I38" s="46"/>
    </row>
    <row r="39" spans="1:9" x14ac:dyDescent="0.25">
      <c r="A39" s="46"/>
      <c r="B39" s="46"/>
      <c r="C39" s="46"/>
      <c r="D39" s="46"/>
      <c r="E39" s="50" t="s">
        <v>44</v>
      </c>
      <c r="F39" s="50"/>
      <c r="G39" s="67">
        <f>SLOPE(Intercooler!E19:E27,Intercooler!C19:C27)*G37</f>
        <v>0.34234503048689524</v>
      </c>
      <c r="H39" s="46"/>
      <c r="I39" s="46"/>
    </row>
    <row r="40" spans="1:9" x14ac:dyDescent="0.25">
      <c r="A40" s="46"/>
      <c r="B40" s="69" t="s">
        <v>20</v>
      </c>
      <c r="C40" s="69"/>
      <c r="D40" s="69"/>
      <c r="E40" s="47"/>
      <c r="F40" s="47"/>
      <c r="G40" s="47"/>
      <c r="H40" s="49"/>
      <c r="I40" s="46"/>
    </row>
    <row r="41" spans="1:9" x14ac:dyDescent="0.25">
      <c r="A41" s="46"/>
      <c r="B41" s="71" t="s">
        <v>37</v>
      </c>
      <c r="C41" s="71"/>
      <c r="D41" s="50">
        <f>C9-G8</f>
        <v>12.4</v>
      </c>
      <c r="E41" s="47"/>
      <c r="F41" s="47"/>
      <c r="G41" s="47"/>
      <c r="H41" s="49"/>
      <c r="I41" s="46"/>
    </row>
    <row r="42" spans="1:9" x14ac:dyDescent="0.25">
      <c r="A42" s="46"/>
      <c r="B42" s="50" t="s">
        <v>18</v>
      </c>
      <c r="C42" s="50"/>
      <c r="D42" s="57">
        <f>C8+15</f>
        <v>92</v>
      </c>
      <c r="E42" s="47"/>
      <c r="F42" s="47"/>
      <c r="G42" s="51"/>
      <c r="H42" s="49"/>
      <c r="I42" s="46"/>
    </row>
    <row r="43" spans="1:9" x14ac:dyDescent="0.25">
      <c r="A43" s="46"/>
      <c r="B43" s="50" t="s">
        <v>24</v>
      </c>
      <c r="C43" s="50"/>
      <c r="D43" s="58">
        <f>(D41*144/(53.35*(D42+459)))</f>
        <v>6.0743268182413504E-2</v>
      </c>
      <c r="E43" s="47"/>
      <c r="F43" s="47"/>
      <c r="G43" s="46"/>
      <c r="H43" s="47"/>
      <c r="I43" s="46"/>
    </row>
    <row r="44" spans="1:9" x14ac:dyDescent="0.25">
      <c r="A44" s="46"/>
      <c r="B44" s="50" t="s">
        <v>38</v>
      </c>
      <c r="C44" s="50"/>
      <c r="D44" s="59">
        <f>D43*G37</f>
        <v>22.181499730967474</v>
      </c>
      <c r="E44" s="47"/>
      <c r="F44" s="47"/>
      <c r="G44" s="47"/>
      <c r="H44" s="47"/>
      <c r="I44" s="46"/>
    </row>
    <row r="45" spans="1:9" x14ac:dyDescent="0.25">
      <c r="A45" s="46"/>
      <c r="B45" s="60" t="s">
        <v>28</v>
      </c>
      <c r="C45" s="50"/>
      <c r="D45" s="61">
        <f>-0.000000001651*G36^2+0.00003552*G36+0.5774</f>
        <v>0.73527884312500003</v>
      </c>
      <c r="E45" s="47"/>
      <c r="F45" s="47"/>
      <c r="G45" s="47"/>
      <c r="H45" s="47"/>
      <c r="I45" s="46"/>
    </row>
    <row r="46" spans="1:9" x14ac:dyDescent="0.25">
      <c r="A46" s="46"/>
      <c r="B46" s="62" t="s">
        <v>17</v>
      </c>
      <c r="C46" s="50"/>
      <c r="D46" s="63">
        <f>(D42+459.7)+((D42+459.7)*((G37/C37)^(0.4/1.4)-1)/D45)-459.7</f>
        <v>219.52796126722461</v>
      </c>
      <c r="E46" s="47"/>
      <c r="F46" s="47"/>
      <c r="G46" s="47"/>
      <c r="H46" s="47"/>
      <c r="I46" s="46"/>
    </row>
    <row r="47" spans="1:9" x14ac:dyDescent="0.25">
      <c r="A47" s="46"/>
      <c r="B47" s="50" t="s">
        <v>27</v>
      </c>
      <c r="C47" s="50"/>
      <c r="D47" s="64">
        <f>(G37/C37)*D41-D41</f>
        <v>9.079501076335136</v>
      </c>
      <c r="E47" s="47"/>
      <c r="F47" s="47"/>
      <c r="G47" s="47"/>
      <c r="H47" s="47"/>
      <c r="I47" s="46"/>
    </row>
    <row r="48" spans="1:9" x14ac:dyDescent="0.25">
      <c r="A48" s="46"/>
      <c r="B48" s="50" t="s">
        <v>23</v>
      </c>
      <c r="C48" s="50"/>
      <c r="D48" s="58">
        <f>((D47+D41)*144/(53.35*(D46+459)))</f>
        <v>8.5444577892656429E-2</v>
      </c>
      <c r="E48" s="47"/>
      <c r="F48" s="47"/>
      <c r="G48" s="47"/>
      <c r="H48" s="47"/>
      <c r="I48" s="46"/>
    </row>
    <row r="49" spans="1:9" x14ac:dyDescent="0.25">
      <c r="A49" s="46"/>
      <c r="B49" s="50" t="s">
        <v>19</v>
      </c>
      <c r="C49" s="50"/>
      <c r="D49" s="65">
        <f>(D42-D46)*G38+D46</f>
        <v>103.64228367678923</v>
      </c>
      <c r="E49" s="52"/>
      <c r="F49" s="47"/>
      <c r="G49" s="47"/>
      <c r="H49" s="47"/>
      <c r="I49" s="46"/>
    </row>
    <row r="50" spans="1:9" x14ac:dyDescent="0.25">
      <c r="A50" s="46"/>
      <c r="B50" s="50" t="s">
        <v>26</v>
      </c>
      <c r="C50" s="50"/>
      <c r="D50" s="64">
        <f>D47-G39</f>
        <v>8.7371560458482413</v>
      </c>
      <c r="E50" s="47"/>
      <c r="F50" s="47"/>
      <c r="G50" s="47"/>
      <c r="H50" s="47"/>
      <c r="I50" s="46"/>
    </row>
    <row r="51" spans="1:9" x14ac:dyDescent="0.25">
      <c r="A51" s="46"/>
      <c r="B51" s="50" t="s">
        <v>25</v>
      </c>
      <c r="C51" s="50"/>
      <c r="D51" s="58">
        <f>((D50+D41)*144/(53.35*(D49+459)))</f>
        <v>0.10140100393286995</v>
      </c>
      <c r="E51" s="47"/>
      <c r="F51" s="47"/>
      <c r="G51" s="47"/>
      <c r="H51" s="47"/>
      <c r="I51" s="46"/>
    </row>
    <row r="52" spans="1:9" x14ac:dyDescent="0.25">
      <c r="A52" s="46"/>
      <c r="B52" s="88" t="s">
        <v>58</v>
      </c>
      <c r="C52" s="88"/>
      <c r="D52" s="88"/>
      <c r="E52" s="47"/>
      <c r="F52" s="47"/>
      <c r="G52" s="47"/>
      <c r="H52" s="47"/>
      <c r="I52" s="46"/>
    </row>
    <row r="53" spans="1:9" x14ac:dyDescent="0.25">
      <c r="A53" s="46"/>
      <c r="B53" s="50" t="s">
        <v>33</v>
      </c>
      <c r="C53" s="50"/>
      <c r="D53" s="66">
        <f>(D54+D41)/D41</f>
        <v>1.7046093585361486</v>
      </c>
      <c r="E53" s="47"/>
      <c r="F53" s="47"/>
      <c r="G53" s="47"/>
      <c r="H53" s="47"/>
      <c r="I53" s="46"/>
    </row>
    <row r="54" spans="1:9" x14ac:dyDescent="0.25">
      <c r="A54" s="46"/>
      <c r="B54" s="50" t="s">
        <v>21</v>
      </c>
      <c r="C54" s="50"/>
      <c r="D54" s="67">
        <f>D50</f>
        <v>8.7371560458482413</v>
      </c>
      <c r="E54" s="47" t="s">
        <v>32</v>
      </c>
      <c r="F54" s="47"/>
      <c r="G54" s="47"/>
      <c r="H54" s="47"/>
      <c r="I54" s="46"/>
    </row>
    <row r="55" spans="1:9" x14ac:dyDescent="0.25">
      <c r="A55" s="46"/>
      <c r="B55" s="50" t="s">
        <v>22</v>
      </c>
      <c r="C55" s="50"/>
      <c r="D55" s="67">
        <f>(G37/C37)*C9-C9</f>
        <v>10.543936733808545</v>
      </c>
      <c r="E55" s="48" t="s">
        <v>51</v>
      </c>
      <c r="F55" s="47"/>
      <c r="G55" s="47"/>
      <c r="H55" s="47"/>
      <c r="I55" s="46"/>
    </row>
    <row r="56" spans="1:9" x14ac:dyDescent="0.25">
      <c r="A56" s="46"/>
      <c r="B56" s="50" t="s">
        <v>16</v>
      </c>
      <c r="C56" s="50"/>
      <c r="D56" s="68">
        <f>D51/D43</f>
        <v>1.6693373104054969</v>
      </c>
      <c r="E56" s="47" t="s">
        <v>34</v>
      </c>
      <c r="F56" s="47"/>
      <c r="G56" s="47"/>
      <c r="H56" s="47"/>
      <c r="I56" s="46"/>
    </row>
    <row r="57" spans="1:9" x14ac:dyDescent="0.25">
      <c r="A57" s="46"/>
      <c r="B57" s="46"/>
      <c r="C57" s="46"/>
      <c r="D57" s="46"/>
      <c r="E57" s="46"/>
      <c r="F57" s="46"/>
      <c r="G57" s="46"/>
      <c r="H57" s="46"/>
      <c r="I57" s="46"/>
    </row>
    <row r="58" spans="1:9" x14ac:dyDescent="0.25">
      <c r="A58" s="46"/>
      <c r="B58" s="46"/>
      <c r="C58" s="46"/>
      <c r="D58" s="46"/>
      <c r="E58" s="46"/>
      <c r="F58" s="46"/>
      <c r="G58" s="46"/>
      <c r="H58" s="46"/>
      <c r="I58" s="46"/>
    </row>
  </sheetData>
  <sheetProtection password="EF3A" sheet="1" objects="1" scenarios="1" selectLockedCells="1"/>
  <scenarios current="0" show="0">
    <scenario name="boost by rpm" locked="1" count="1" user="Richard Wayne" comment="Created by Richard Wayne on 3/13/2015_x000a_Modified by Richard Wayne on 3/13/2015">
      <inputCells r="C35" val="20002500" numFmtId="1"/>
    </scenario>
  </scenarios>
  <mergeCells count="17">
    <mergeCell ref="A1:M2"/>
    <mergeCell ref="A3:M3"/>
    <mergeCell ref="L5:M5"/>
    <mergeCell ref="B52:D52"/>
    <mergeCell ref="E34:G34"/>
    <mergeCell ref="A34:C34"/>
    <mergeCell ref="I5:J5"/>
    <mergeCell ref="A5:C5"/>
    <mergeCell ref="E5:G5"/>
    <mergeCell ref="A12:N12"/>
    <mergeCell ref="A6:B6"/>
    <mergeCell ref="A7:B7"/>
    <mergeCell ref="A8:B8"/>
    <mergeCell ref="A9:B9"/>
    <mergeCell ref="E6:F6"/>
    <mergeCell ref="E7:F7"/>
    <mergeCell ref="E8:F8"/>
  </mergeCells>
  <pageMargins left="0.7" right="0.7" top="0.75" bottom="0.75" header="0.3" footer="0.3"/>
  <pageSetup orientation="portrait" r:id="rId1"/>
  <headerFooter>
    <oddFooter>&amp;C&amp;1#&amp;"Arial"&amp;10&amp;K000000Internal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C19:I32"/>
  <sheetViews>
    <sheetView workbookViewId="0">
      <selection activeCell="L29" sqref="L29"/>
    </sheetView>
  </sheetViews>
  <sheetFormatPr defaultRowHeight="15" x14ac:dyDescent="0.25"/>
  <cols>
    <col min="7" max="7" width="11.5703125" customWidth="1"/>
    <col min="8" max="8" width="12.140625" bestFit="1" customWidth="1"/>
  </cols>
  <sheetData>
    <row r="19" spans="3:9" ht="15.75" thickBot="1" x14ac:dyDescent="0.3"/>
    <row r="20" spans="3:9" x14ac:dyDescent="0.25">
      <c r="C20" s="111" t="s">
        <v>40</v>
      </c>
      <c r="D20" s="112"/>
      <c r="E20" s="113" t="s">
        <v>42</v>
      </c>
      <c r="F20" s="114"/>
      <c r="G20" s="115"/>
    </row>
    <row r="21" spans="3:9" x14ac:dyDescent="0.25">
      <c r="C21" s="17" t="s">
        <v>39</v>
      </c>
      <c r="D21" s="10" t="s">
        <v>41</v>
      </c>
      <c r="E21" s="25" t="s">
        <v>39</v>
      </c>
      <c r="F21" s="1" t="s">
        <v>41</v>
      </c>
      <c r="G21" s="29" t="s">
        <v>43</v>
      </c>
    </row>
    <row r="22" spans="3:9" x14ac:dyDescent="0.25">
      <c r="C22" s="18">
        <v>0</v>
      </c>
      <c r="D22" s="12">
        <v>0</v>
      </c>
      <c r="E22" s="11">
        <v>0</v>
      </c>
      <c r="F22" s="16">
        <v>0</v>
      </c>
      <c r="G22" s="30">
        <v>0</v>
      </c>
      <c r="H22" s="78"/>
      <c r="I22" s="5" t="s">
        <v>65</v>
      </c>
    </row>
    <row r="23" spans="3:9" x14ac:dyDescent="0.25">
      <c r="C23" s="18">
        <v>2000</v>
      </c>
      <c r="D23" s="13">
        <v>0.74069767441860468</v>
      </c>
      <c r="E23" s="15">
        <v>5520</v>
      </c>
      <c r="F23" s="16">
        <v>0.68</v>
      </c>
      <c r="G23" s="30">
        <v>0.7</v>
      </c>
      <c r="H23" s="78"/>
      <c r="I23" s="5" t="s">
        <v>66</v>
      </c>
    </row>
    <row r="24" spans="3:9" x14ac:dyDescent="0.25">
      <c r="C24" s="18">
        <v>2500</v>
      </c>
      <c r="D24" s="13">
        <v>0.8046511627906977</v>
      </c>
      <c r="E24" s="15">
        <v>6899.9999999999991</v>
      </c>
      <c r="F24" s="16">
        <v>0.74</v>
      </c>
      <c r="G24" s="30">
        <v>0.76</v>
      </c>
      <c r="H24" s="78"/>
      <c r="I24" s="5" t="s">
        <v>50</v>
      </c>
    </row>
    <row r="25" spans="3:9" x14ac:dyDescent="0.25">
      <c r="C25" s="18">
        <v>3000</v>
      </c>
      <c r="D25" s="13">
        <v>0.83953488372093032</v>
      </c>
      <c r="E25" s="15">
        <v>8280</v>
      </c>
      <c r="F25" s="16">
        <v>0.8</v>
      </c>
      <c r="G25" s="30">
        <v>0.77</v>
      </c>
      <c r="H25" s="78"/>
    </row>
    <row r="26" spans="3:9" x14ac:dyDescent="0.25">
      <c r="C26" s="18">
        <v>3500</v>
      </c>
      <c r="D26" s="13">
        <v>0.88604651162790704</v>
      </c>
      <c r="E26" s="15">
        <v>9660</v>
      </c>
      <c r="F26" s="16">
        <v>0.84</v>
      </c>
      <c r="G26" s="30">
        <v>0.78</v>
      </c>
      <c r="H26" s="78"/>
    </row>
    <row r="27" spans="3:9" x14ac:dyDescent="0.25">
      <c r="C27" s="18">
        <v>4000</v>
      </c>
      <c r="D27" s="13">
        <v>0.92674418604651165</v>
      </c>
      <c r="E27" s="15">
        <v>11040</v>
      </c>
      <c r="F27" s="16">
        <v>0.87</v>
      </c>
      <c r="G27" s="30">
        <v>0.77</v>
      </c>
      <c r="H27" s="78"/>
    </row>
    <row r="28" spans="3:9" x14ac:dyDescent="0.25">
      <c r="C28" s="18">
        <v>4500</v>
      </c>
      <c r="D28" s="13">
        <v>0.95</v>
      </c>
      <c r="E28" s="15">
        <v>12419.999999999998</v>
      </c>
      <c r="F28" s="16">
        <v>0.92</v>
      </c>
      <c r="G28" s="30">
        <v>0.76</v>
      </c>
      <c r="H28" s="78"/>
    </row>
    <row r="29" spans="3:9" x14ac:dyDescent="0.25">
      <c r="C29" s="18">
        <v>5000</v>
      </c>
      <c r="D29" s="13">
        <v>0.94418604651162785</v>
      </c>
      <c r="E29" s="15">
        <v>13799.999999999998</v>
      </c>
      <c r="F29" s="16">
        <v>0.93</v>
      </c>
      <c r="G29" s="30">
        <v>0.74</v>
      </c>
      <c r="H29" s="78"/>
    </row>
    <row r="30" spans="3:9" x14ac:dyDescent="0.25">
      <c r="C30" s="18">
        <v>5500</v>
      </c>
      <c r="D30" s="13">
        <v>0.93255813953488376</v>
      </c>
      <c r="E30" s="15">
        <v>15179.999999999998</v>
      </c>
      <c r="F30" s="16">
        <v>0.94</v>
      </c>
      <c r="G30" s="30">
        <v>0.72</v>
      </c>
      <c r="H30" s="78"/>
    </row>
    <row r="31" spans="3:9" x14ac:dyDescent="0.25">
      <c r="C31" s="18">
        <v>6000</v>
      </c>
      <c r="D31" s="13">
        <v>0.90930232558139534</v>
      </c>
      <c r="E31" s="15">
        <v>16560</v>
      </c>
      <c r="F31" s="16">
        <v>0.96</v>
      </c>
      <c r="G31" s="30">
        <v>0.71</v>
      </c>
      <c r="H31" s="78"/>
    </row>
    <row r="32" spans="3:9" ht="15.75" thickBot="1" x14ac:dyDescent="0.3">
      <c r="C32" s="19">
        <v>6500</v>
      </c>
      <c r="D32" s="20">
        <v>0.86860465116279073</v>
      </c>
      <c r="E32" s="21">
        <v>17940</v>
      </c>
      <c r="F32" s="22">
        <v>0.98</v>
      </c>
      <c r="G32" s="31">
        <v>0.7</v>
      </c>
      <c r="H32" s="78"/>
    </row>
  </sheetData>
  <sheetProtection password="EF3A" sheet="1" objects="1" scenarios="1" selectLockedCells="1"/>
  <mergeCells count="2">
    <mergeCell ref="C20:D20"/>
    <mergeCell ref="E20:G20"/>
  </mergeCells>
  <pageMargins left="0.7" right="0.7" top="0.75" bottom="0.75" header="0.3" footer="0.3"/>
  <pageSetup orientation="portrait" r:id="rId1"/>
  <headerFooter>
    <oddFooter>&amp;C&amp;1#&amp;"Arial"&amp;10&amp;K000000Internal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C18:G27"/>
  <sheetViews>
    <sheetView workbookViewId="0">
      <selection activeCell="I21" sqref="I21"/>
    </sheetView>
  </sheetViews>
  <sheetFormatPr defaultRowHeight="15" x14ac:dyDescent="0.25"/>
  <sheetData>
    <row r="18" spans="3:7" x14ac:dyDescent="0.25">
      <c r="C18" s="35" t="s">
        <v>52</v>
      </c>
      <c r="D18" s="40" t="s">
        <v>53</v>
      </c>
      <c r="E18" s="36" t="s">
        <v>54</v>
      </c>
    </row>
    <row r="19" spans="3:7" x14ac:dyDescent="0.25">
      <c r="C19" s="15">
        <v>0</v>
      </c>
      <c r="D19" s="16">
        <v>1</v>
      </c>
      <c r="E19" s="38">
        <v>0</v>
      </c>
      <c r="G19" t="s">
        <v>67</v>
      </c>
    </row>
    <row r="20" spans="3:7" x14ac:dyDescent="0.25">
      <c r="C20" s="15">
        <v>200</v>
      </c>
      <c r="D20" s="16">
        <v>0.95</v>
      </c>
      <c r="E20" s="38">
        <v>0.18750000000000011</v>
      </c>
    </row>
    <row r="21" spans="3:7" x14ac:dyDescent="0.25">
      <c r="C21" s="15">
        <v>400</v>
      </c>
      <c r="D21" s="16">
        <v>0.9</v>
      </c>
      <c r="E21" s="38">
        <v>0.375</v>
      </c>
    </row>
    <row r="22" spans="3:7" x14ac:dyDescent="0.25">
      <c r="C22" s="15">
        <v>600</v>
      </c>
      <c r="D22" s="16">
        <v>0.85</v>
      </c>
      <c r="E22" s="38">
        <v>0.5625</v>
      </c>
    </row>
    <row r="23" spans="3:7" x14ac:dyDescent="0.25">
      <c r="C23" s="15">
        <v>800</v>
      </c>
      <c r="D23" s="16">
        <v>0.8</v>
      </c>
      <c r="E23" s="38">
        <v>0.75</v>
      </c>
    </row>
    <row r="24" spans="3:7" x14ac:dyDescent="0.25">
      <c r="C24" s="15">
        <v>1000</v>
      </c>
      <c r="D24" s="16">
        <v>0.75</v>
      </c>
      <c r="E24" s="38">
        <v>0.93749999999999978</v>
      </c>
    </row>
    <row r="25" spans="3:7" x14ac:dyDescent="0.25">
      <c r="C25" s="15">
        <v>1200</v>
      </c>
      <c r="D25" s="16">
        <v>0.7</v>
      </c>
      <c r="E25" s="38">
        <v>1.1249999999999998</v>
      </c>
    </row>
    <row r="26" spans="3:7" x14ac:dyDescent="0.25">
      <c r="C26" s="15">
        <v>1400</v>
      </c>
      <c r="D26" s="16">
        <v>0.65</v>
      </c>
      <c r="E26" s="38">
        <v>1.3124999999999998</v>
      </c>
    </row>
    <row r="27" spans="3:7" x14ac:dyDescent="0.25">
      <c r="C27" s="14">
        <v>1600</v>
      </c>
      <c r="D27" s="41">
        <v>0.6</v>
      </c>
      <c r="E27" s="39">
        <v>1.4999999999999998</v>
      </c>
    </row>
  </sheetData>
  <sheetProtection password="EF3A" sheet="1" objects="1" scenarios="1" selectLockedCells="1"/>
  <pageMargins left="0.7" right="0.7" top="0.75" bottom="0.75" header="0.3" footer="0.3"/>
  <pageSetup orientation="portrait" r:id="rId1"/>
  <headerFooter>
    <oddFooter>&amp;C&amp;1#&amp;"Arial"&amp;10&amp;K000000Internal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Blower</vt:lpstr>
      <vt:lpstr>Engine and Blower Eff</vt:lpstr>
      <vt:lpstr>Intercooler</vt:lpstr>
    </vt:vector>
  </TitlesOfParts>
  <Company>PEO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Wayne</dc:creator>
  <cp:lastModifiedBy>timothy.alexander@basf.com</cp:lastModifiedBy>
  <dcterms:created xsi:type="dcterms:W3CDTF">2015-03-10T13:43:06Z</dcterms:created>
  <dcterms:modified xsi:type="dcterms:W3CDTF">2022-07-05T15:21:20Z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530cf4-8573-4c29-a912-bbcdac835909_Enabled">
    <vt:lpwstr>true</vt:lpwstr>
  </property>
  <property fmtid="{D5CDD505-2E9C-101B-9397-08002B2CF9AE}" pid="3" name="MSIP_Label_06530cf4-8573-4c29-a912-bbcdac835909_SetDate">
    <vt:lpwstr>2022-07-05T15:21:20Z</vt:lpwstr>
  </property>
  <property fmtid="{D5CDD505-2E9C-101B-9397-08002B2CF9AE}" pid="4" name="MSIP_Label_06530cf4-8573-4c29-a912-bbcdac835909_Method">
    <vt:lpwstr>Standard</vt:lpwstr>
  </property>
  <property fmtid="{D5CDD505-2E9C-101B-9397-08002B2CF9AE}" pid="5" name="MSIP_Label_06530cf4-8573-4c29-a912-bbcdac835909_Name">
    <vt:lpwstr>06530cf4-8573-4c29-a912-bbcdac835909</vt:lpwstr>
  </property>
  <property fmtid="{D5CDD505-2E9C-101B-9397-08002B2CF9AE}" pid="6" name="MSIP_Label_06530cf4-8573-4c29-a912-bbcdac835909_SiteId">
    <vt:lpwstr>ecaa386b-c8df-4ce0-ad01-740cbdb5ba55</vt:lpwstr>
  </property>
  <property fmtid="{D5CDD505-2E9C-101B-9397-08002B2CF9AE}" pid="7" name="MSIP_Label_06530cf4-8573-4c29-a912-bbcdac835909_ActionId">
    <vt:lpwstr>17fd0d54-91bf-466d-a08f-0cf509e8cb6d</vt:lpwstr>
  </property>
  <property fmtid="{D5CDD505-2E9C-101B-9397-08002B2CF9AE}" pid="8" name="MSIP_Label_06530cf4-8573-4c29-a912-bbcdac835909_ContentBits">
    <vt:lpwstr>2</vt:lpwstr>
  </property>
</Properties>
</file>